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sutaja\Documents\Research paper_01\Publikatsioon\Lõplik\"/>
    </mc:Choice>
  </mc:AlternateContent>
  <xr:revisionPtr revIDLastSave="0" documentId="13_ncr:1_{57FE8B12-F029-4244-8268-A9204618BF0C}" xr6:coauthVersionLast="47" xr6:coauthVersionMax="47" xr10:uidLastSave="{00000000-0000-0000-0000-000000000000}"/>
  <bookViews>
    <workbookView xWindow="380" yWindow="380" windowWidth="34460" windowHeight="17670" xr2:uid="{4B934514-8F44-4589-88FC-0E6A66D08B0E}"/>
  </bookViews>
  <sheets>
    <sheet name="Calculator" sheetId="2" r:id="rId1"/>
    <sheet name="Assumptions" sheetId="3" state="hidden" r:id="rId2"/>
    <sheet name="Structural balance"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5" l="1"/>
  <c r="E2" i="5"/>
  <c r="E3" i="5"/>
  <c r="E4" i="5"/>
  <c r="E5" i="5"/>
  <c r="E6" i="5"/>
  <c r="E7" i="5"/>
  <c r="E8" i="5"/>
  <c r="E9" i="5"/>
  <c r="E10" i="5"/>
  <c r="E11" i="5"/>
  <c r="E12" i="5"/>
  <c r="E13" i="5"/>
  <c r="E14" i="5"/>
  <c r="E15" i="5"/>
  <c r="E16" i="5"/>
  <c r="E17" i="5"/>
  <c r="E18" i="5"/>
  <c r="I7" i="2" l="1"/>
  <c r="I6" i="2"/>
  <c r="I5" i="2"/>
  <c r="I4" i="2"/>
  <c r="I3" i="2"/>
  <c r="I2" i="2"/>
  <c r="F11" i="2" l="1"/>
  <c r="C17" i="2"/>
  <c r="C15" i="2"/>
  <c r="C13" i="2"/>
  <c r="C14" i="2"/>
  <c r="C12" i="2"/>
  <c r="F16" i="2"/>
  <c r="E12" i="2"/>
  <c r="E15" i="2"/>
  <c r="E17" i="2"/>
  <c r="E14" i="2"/>
  <c r="E13" i="2"/>
  <c r="B15" i="2"/>
  <c r="B14" i="2"/>
  <c r="B17" i="2"/>
  <c r="B13" i="2"/>
  <c r="B12" i="2"/>
  <c r="D17" i="2" l="1"/>
  <c r="G16" i="2" s="1"/>
  <c r="D15" i="2"/>
  <c r="D13" i="2"/>
  <c r="D12" i="2"/>
  <c r="D14" i="2"/>
  <c r="G11" i="2" l="1"/>
  <c r="H11" i="2" s="1"/>
  <c r="F19" i="5" s="1"/>
  <c r="F3" i="5" l="1"/>
  <c r="F1" i="5"/>
  <c r="F14" i="5"/>
  <c r="F5" i="5"/>
  <c r="F2" i="5"/>
  <c r="F16" i="5"/>
  <c r="F6" i="5"/>
  <c r="F10" i="5"/>
  <c r="F9" i="5"/>
  <c r="F17" i="5"/>
  <c r="F8" i="5"/>
  <c r="F15" i="5"/>
  <c r="F7" i="5"/>
  <c r="F13" i="5"/>
  <c r="F12" i="5"/>
  <c r="F18" i="5"/>
  <c r="F4" i="5"/>
  <c r="F11" i="5"/>
</calcChain>
</file>

<file path=xl/sharedStrings.xml><?xml version="1.0" encoding="utf-8"?>
<sst xmlns="http://schemas.openxmlformats.org/spreadsheetml/2006/main" count="146" uniqueCount="76">
  <si>
    <t>Unemployment-related expenses</t>
  </si>
  <si>
    <t>Corporate income tax</t>
  </si>
  <si>
    <t>Indirect taxes</t>
  </si>
  <si>
    <t>Social tax</t>
  </si>
  <si>
    <t>Personal income tax</t>
  </si>
  <si>
    <t>% of GDP</t>
  </si>
  <si>
    <t>1995-2023</t>
  </si>
  <si>
    <t>1995-2019</t>
  </si>
  <si>
    <t>2010-2019</t>
  </si>
  <si>
    <t>Period:</t>
  </si>
  <si>
    <t>The elasticity of personal income and social tax with respect to:</t>
  </si>
  <si>
    <t>The elasticity of indirect taxes:</t>
  </si>
  <si>
    <t>Expenditure elasticity:</t>
  </si>
  <si>
    <t>Weights:</t>
  </si>
  <si>
    <t>Wage bill (average wage*employment*12)</t>
  </si>
  <si>
    <t>Compensation of employees</t>
  </si>
  <si>
    <t>ɛ = 1 assumption</t>
  </si>
  <si>
    <t>With respect to private consumption</t>
  </si>
  <si>
    <t>With respect to total consumption</t>
  </si>
  <si>
    <t>Unemployment-related expenses with respect to unemplyment</t>
  </si>
  <si>
    <t>Average of total period</t>
  </si>
  <si>
    <t>Average of last 10 years</t>
  </si>
  <si>
    <t xml:space="preserve">ASSUMPTIONS: </t>
  </si>
  <si>
    <t>Expenditure elasticity with respect to its base:</t>
  </si>
  <si>
    <t>Based on production function (AMECO)</t>
  </si>
  <si>
    <t>Select from drop-down list:</t>
  </si>
  <si>
    <t>Output gap</t>
  </si>
  <si>
    <t>Personal income tax to base:</t>
  </si>
  <si>
    <t>Social tax to base:</t>
  </si>
  <si>
    <t>Indirect taxes to base:</t>
  </si>
  <si>
    <t>Corporate income tax to base:</t>
  </si>
  <si>
    <t>Elasticity with respect to profits earned last period</t>
  </si>
  <si>
    <t>PIT&amp;SOT: base to OG</t>
  </si>
  <si>
    <t>OG</t>
  </si>
  <si>
    <t>Base</t>
  </si>
  <si>
    <t>AMECO prod.f.</t>
  </si>
  <si>
    <t>AMECO trend</t>
  </si>
  <si>
    <t>HP</t>
  </si>
  <si>
    <t>IT: base to OG</t>
  </si>
  <si>
    <t>Private consumption</t>
  </si>
  <si>
    <t>Total consumption</t>
  </si>
  <si>
    <t>CIT: base to OG</t>
  </si>
  <si>
    <t>Weights</t>
  </si>
  <si>
    <t>Total</t>
  </si>
  <si>
    <t>Last 10</t>
  </si>
  <si>
    <t>PIT/Revenues</t>
  </si>
  <si>
    <t>SOT/Revenues</t>
  </si>
  <si>
    <t>IT/Revenues</t>
  </si>
  <si>
    <t>CIT/Revenues</t>
  </si>
  <si>
    <t>Unemp.exp/Expenditures</t>
  </si>
  <si>
    <t>Revenues/GDP</t>
  </si>
  <si>
    <t>Expenditures/GDP</t>
  </si>
  <si>
    <t>Unemp.benefits/Expenditures</t>
  </si>
  <si>
    <t>Unemployment benefits with respect to unemplyment (only from 2003)</t>
  </si>
  <si>
    <t>Expenditures elasticity:</t>
  </si>
  <si>
    <t>Unemployment to OG</t>
  </si>
  <si>
    <t>Semi-elasticities</t>
  </si>
  <si>
    <t>REVENUES:</t>
  </si>
  <si>
    <t>For budget balance</t>
  </si>
  <si>
    <t>Nominal balance</t>
  </si>
  <si>
    <t>One-off measures</t>
  </si>
  <si>
    <t>Elasticities</t>
  </si>
  <si>
    <t>Base with respect to output gap</t>
  </si>
  <si>
    <t>Structural balance if ɛ = 0,486</t>
  </si>
  <si>
    <t>EXPENDITURES:</t>
  </si>
  <si>
    <t>Revenues and expenditures with respect to base</t>
  </si>
  <si>
    <t>Revenues and expenditures with respect to output gap</t>
  </si>
  <si>
    <t>% of total revenues or expenditures</t>
  </si>
  <si>
    <t>For revenues and expenditures</t>
  </si>
  <si>
    <t>Unemployment-related expenses with respect to unemployment</t>
  </si>
  <si>
    <t>Unemployment benefits with respect to unemployment (only from 2003)</t>
  </si>
  <si>
    <t xml:space="preserve">Note: In the calculations, Ministry of Finance data on output gaps and one-off measures are used. The nominal budget balance data is from Statistics Estonia up to the year 2024, and from then onward, it is based on the Ministry of Finance forecast (spring 2025). </t>
  </si>
  <si>
    <t>Output gap:</t>
  </si>
  <si>
    <t>Based on HP filter (AMECO)</t>
  </si>
  <si>
    <r>
      <t>Based on HP filter (</t>
    </r>
    <r>
      <rPr>
        <sz val="12"/>
        <color theme="1"/>
        <rFont val="Calibri"/>
        <family val="2"/>
      </rPr>
      <t>λ=30)</t>
    </r>
  </si>
  <si>
    <t>Based on HP filter (λ=30)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</si>
</sst>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2" x14ac:knownFonts="1">
    <font>
      <sz val="12"/>
      <color theme="1"/>
      <name val="Calibri"/>
      <family val="2"/>
      <scheme val="minor"/>
    </font>
    <font>
      <sz val="12"/>
      <color theme="1"/>
      <name val="Calibri"/>
      <family val="2"/>
      <scheme val="minor"/>
    </font>
    <font>
      <b/>
      <sz val="20"/>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b/>
      <i/>
      <sz val="12"/>
      <color theme="1"/>
      <name val="Calibri"/>
      <family val="2"/>
      <scheme val="minor"/>
    </font>
    <font>
      <sz val="8"/>
      <name val="Calibri"/>
      <family val="2"/>
      <scheme val="minor"/>
    </font>
    <font>
      <sz val="11"/>
      <color rgb="FF000000"/>
      <name val="Calibri"/>
      <family val="2"/>
    </font>
    <font>
      <i/>
      <sz val="10"/>
      <color theme="1"/>
      <name val="Calibri"/>
      <family val="2"/>
      <scheme val="minor"/>
    </font>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Border="0"/>
  </cellStyleXfs>
  <cellXfs count="79">
    <xf numFmtId="0" fontId="0" fillId="0" borderId="0" xfId="0"/>
    <xf numFmtId="0" fontId="4" fillId="0" borderId="0" xfId="0" applyFont="1"/>
    <xf numFmtId="0" fontId="0" fillId="0" borderId="0" xfId="0" applyAlignment="1">
      <alignment wrapText="1"/>
    </xf>
    <xf numFmtId="0" fontId="5" fillId="0" borderId="0" xfId="0" applyFont="1"/>
    <xf numFmtId="0" fontId="5" fillId="0" borderId="0" xfId="0" applyFont="1" applyAlignment="1">
      <alignment wrapText="1"/>
    </xf>
    <xf numFmtId="0" fontId="4" fillId="0" borderId="0" xfId="0" applyFont="1" applyAlignment="1">
      <alignment wrapText="1"/>
    </xf>
    <xf numFmtId="0" fontId="0" fillId="0" borderId="0" xfId="0" applyAlignment="1">
      <alignment horizontal="center"/>
    </xf>
    <xf numFmtId="0" fontId="4" fillId="0" borderId="0" xfId="0" applyFont="1" applyAlignment="1">
      <alignment horizontal="center"/>
    </xf>
    <xf numFmtId="0" fontId="4" fillId="0" borderId="0" xfId="0" applyFont="1" applyAlignment="1">
      <alignment horizontal="center" wrapText="1"/>
    </xf>
    <xf numFmtId="2" fontId="0" fillId="0" borderId="0" xfId="0" applyNumberFormat="1"/>
    <xf numFmtId="0" fontId="4" fillId="0" borderId="0" xfId="0" applyFont="1" applyAlignment="1">
      <alignment vertical="center"/>
    </xf>
    <xf numFmtId="0" fontId="4" fillId="0" borderId="0" xfId="0" applyFont="1" applyAlignment="1">
      <alignment horizontal="center" vertical="center"/>
    </xf>
    <xf numFmtId="0" fontId="9" fillId="0" borderId="0" xfId="0" applyFont="1"/>
    <xf numFmtId="0" fontId="0" fillId="0" borderId="0" xfId="0" applyFill="1"/>
    <xf numFmtId="0" fontId="0" fillId="0" borderId="0" xfId="0" applyFill="1" applyAlignment="1">
      <alignment wrapText="1"/>
    </xf>
    <xf numFmtId="0" fontId="6" fillId="3" borderId="23" xfId="0" applyFont="1" applyFill="1" applyBorder="1" applyProtection="1"/>
    <xf numFmtId="0" fontId="0" fillId="0" borderId="0" xfId="0" applyProtection="1"/>
    <xf numFmtId="0" fontId="4" fillId="0" borderId="26" xfId="0" applyFont="1" applyBorder="1" applyProtection="1"/>
    <xf numFmtId="0" fontId="4" fillId="0" borderId="26" xfId="0" applyFont="1" applyBorder="1" applyAlignment="1" applyProtection="1">
      <alignment wrapText="1"/>
    </xf>
    <xf numFmtId="0" fontId="4" fillId="0" borderId="28" xfId="0" applyFont="1" applyBorder="1" applyProtection="1"/>
    <xf numFmtId="0" fontId="4" fillId="0" borderId="5" xfId="0" applyFont="1" applyBorder="1" applyAlignment="1" applyProtection="1">
      <alignment horizontal="center" wrapText="1"/>
    </xf>
    <xf numFmtId="0" fontId="4" fillId="0" borderId="10" xfId="0" applyFont="1" applyBorder="1" applyAlignment="1" applyProtection="1">
      <alignment horizontal="center" wrapText="1"/>
    </xf>
    <xf numFmtId="0" fontId="4" fillId="0" borderId="11" xfId="0" applyFont="1" applyBorder="1" applyAlignment="1" applyProtection="1">
      <alignment horizontal="center" wrapText="1"/>
    </xf>
    <xf numFmtId="0" fontId="4" fillId="0" borderId="17" xfId="0" applyFont="1" applyBorder="1" applyAlignment="1" applyProtection="1">
      <alignment horizontal="center" wrapText="1"/>
    </xf>
    <xf numFmtId="0" fontId="4" fillId="0" borderId="8" xfId="0" applyFont="1" applyBorder="1" applyAlignment="1" applyProtection="1">
      <alignment horizontal="center" wrapText="1"/>
    </xf>
    <xf numFmtId="0" fontId="0" fillId="0" borderId="0" xfId="0" applyAlignment="1" applyProtection="1">
      <alignment wrapText="1"/>
    </xf>
    <xf numFmtId="0" fontId="6" fillId="0" borderId="12" xfId="0" applyFont="1" applyBorder="1" applyProtection="1"/>
    <xf numFmtId="0" fontId="1" fillId="2" borderId="12" xfId="0" applyFont="1" applyFill="1" applyBorder="1" applyAlignment="1" applyProtection="1">
      <alignment wrapText="1"/>
    </xf>
    <xf numFmtId="0" fontId="0" fillId="3" borderId="20" xfId="0" applyFill="1" applyBorder="1" applyProtection="1"/>
    <xf numFmtId="2" fontId="0" fillId="4" borderId="4" xfId="0" applyNumberFormat="1" applyFill="1" applyBorder="1" applyProtection="1"/>
    <xf numFmtId="0" fontId="4" fillId="0" borderId="9" xfId="0" applyFont="1" applyBorder="1" applyAlignment="1" applyProtection="1">
      <alignment horizontal="right" vertical="center" wrapText="1"/>
    </xf>
    <xf numFmtId="0" fontId="1" fillId="3" borderId="1" xfId="0" applyFont="1" applyFill="1" applyBorder="1" applyProtection="1"/>
    <xf numFmtId="2" fontId="3" fillId="4" borderId="2" xfId="0" applyNumberFormat="1" applyFont="1" applyFill="1" applyBorder="1" applyProtection="1"/>
    <xf numFmtId="0" fontId="1" fillId="3" borderId="9" xfId="0" applyFont="1" applyFill="1" applyBorder="1" applyProtection="1"/>
    <xf numFmtId="0" fontId="0" fillId="2" borderId="21" xfId="0" applyFill="1" applyBorder="1" applyProtection="1"/>
    <xf numFmtId="0" fontId="0" fillId="2" borderId="0" xfId="0" applyFill="1" applyBorder="1" applyProtection="1"/>
    <xf numFmtId="0" fontId="0" fillId="2" borderId="18" xfId="0" applyFill="1" applyBorder="1" applyProtection="1"/>
    <xf numFmtId="0" fontId="4" fillId="0" borderId="11" xfId="0" applyFont="1" applyBorder="1" applyAlignment="1" applyProtection="1">
      <alignment horizontal="right" vertical="center" wrapText="1"/>
    </xf>
    <xf numFmtId="0" fontId="1" fillId="3" borderId="5" xfId="0" applyFont="1" applyFill="1" applyBorder="1" applyProtection="1"/>
    <xf numFmtId="2" fontId="3" fillId="4" borderId="10" xfId="0" applyNumberFormat="1" applyFont="1" applyFill="1" applyBorder="1" applyProtection="1"/>
    <xf numFmtId="0" fontId="1" fillId="3" borderId="11" xfId="0" applyFont="1" applyFill="1" applyBorder="1" applyProtection="1"/>
    <xf numFmtId="0" fontId="0" fillId="2" borderId="19" xfId="0" applyFill="1" applyBorder="1" applyProtection="1"/>
    <xf numFmtId="0" fontId="0" fillId="2" borderId="7" xfId="0" applyFill="1" applyBorder="1" applyProtection="1"/>
    <xf numFmtId="0" fontId="6" fillId="0" borderId="12" xfId="0" applyFont="1" applyBorder="1" applyAlignment="1" applyProtection="1">
      <alignment horizontal="left" vertical="center" wrapText="1"/>
    </xf>
    <xf numFmtId="0" fontId="1" fillId="2" borderId="12" xfId="0" applyFont="1" applyFill="1" applyBorder="1" applyAlignment="1" applyProtection="1"/>
    <xf numFmtId="0" fontId="0" fillId="2" borderId="17" xfId="0" applyFill="1" applyBorder="1" applyProtection="1"/>
    <xf numFmtId="0" fontId="0" fillId="2" borderId="6" xfId="0" applyFill="1" applyBorder="1" applyProtection="1"/>
    <xf numFmtId="0" fontId="9" fillId="0" borderId="0" xfId="0" applyFont="1" applyProtection="1"/>
    <xf numFmtId="0" fontId="10" fillId="0" borderId="3" xfId="0" applyFont="1" applyBorder="1" applyAlignment="1">
      <alignment wrapText="1"/>
    </xf>
    <xf numFmtId="0" fontId="11" fillId="0" borderId="3" xfId="0" applyFont="1" applyBorder="1" applyAlignment="1">
      <alignment horizontal="center" wrapText="1"/>
    </xf>
    <xf numFmtId="0" fontId="11" fillId="0" borderId="0" xfId="0" applyNumberFormat="1" applyFont="1"/>
    <xf numFmtId="165" fontId="8" fillId="0" borderId="0" xfId="1" applyNumberFormat="1" applyFont="1" applyFill="1" applyAlignment="1" applyProtection="1"/>
    <xf numFmtId="165" fontId="10" fillId="0" borderId="0" xfId="0" applyNumberFormat="1" applyFont="1"/>
    <xf numFmtId="2" fontId="10" fillId="0" borderId="0" xfId="0" applyNumberFormat="1" applyFont="1"/>
    <xf numFmtId="0" fontId="11" fillId="0" borderId="0" xfId="0" applyFont="1"/>
    <xf numFmtId="0" fontId="10" fillId="0" borderId="0" xfId="0" applyFont="1"/>
    <xf numFmtId="0" fontId="0" fillId="0" borderId="13" xfId="0" applyBorder="1" applyAlignment="1" applyProtection="1">
      <alignment horizontal="center"/>
    </xf>
    <xf numFmtId="0" fontId="0" fillId="0" borderId="11" xfId="0" applyBorder="1" applyAlignment="1" applyProtection="1">
      <alignment horizontal="center"/>
    </xf>
    <xf numFmtId="0" fontId="4" fillId="0" borderId="14" xfId="0" applyFont="1" applyBorder="1" applyAlignment="1" applyProtection="1">
      <alignment horizontal="center" wrapText="1"/>
    </xf>
    <xf numFmtId="0" fontId="4" fillId="0" borderId="15" xfId="0" applyFont="1" applyBorder="1" applyAlignment="1" applyProtection="1">
      <alignment horizontal="center" wrapText="1"/>
    </xf>
    <xf numFmtId="0" fontId="4" fillId="0" borderId="16" xfId="0" applyFont="1" applyBorder="1" applyAlignment="1" applyProtection="1">
      <alignment horizontal="center" wrapText="1"/>
    </xf>
    <xf numFmtId="0" fontId="6" fillId="3" borderId="24" xfId="0" applyFont="1" applyFill="1" applyBorder="1" applyAlignment="1" applyProtection="1">
      <alignment horizontal="center"/>
    </xf>
    <xf numFmtId="0" fontId="6" fillId="3" borderId="25" xfId="0" applyFont="1" applyFill="1" applyBorder="1" applyAlignment="1" applyProtection="1">
      <alignment horizontal="center"/>
    </xf>
    <xf numFmtId="164" fontId="2" fillId="5" borderId="18" xfId="0" applyNumberFormat="1" applyFont="1" applyFill="1" applyBorder="1" applyAlignment="1" applyProtection="1">
      <alignment horizontal="center" vertical="center"/>
    </xf>
    <xf numFmtId="164" fontId="2" fillId="5" borderId="19" xfId="0" applyNumberFormat="1" applyFont="1" applyFill="1" applyBorder="1" applyAlignment="1" applyProtection="1">
      <alignment horizontal="center" vertical="center"/>
    </xf>
    <xf numFmtId="0" fontId="0" fillId="0" borderId="0" xfId="0" applyBorder="1" applyAlignment="1" applyProtection="1">
      <alignment horizontal="center" wrapText="1"/>
      <protection locked="0"/>
    </xf>
    <xf numFmtId="0" fontId="0" fillId="0" borderId="27"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29" xfId="0" applyBorder="1" applyAlignment="1" applyProtection="1">
      <alignment horizontal="center" wrapText="1"/>
      <protection locked="0"/>
    </xf>
    <xf numFmtId="0" fontId="4" fillId="0" borderId="15" xfId="0" applyFont="1" applyBorder="1" applyAlignment="1" applyProtection="1">
      <alignment horizontal="center"/>
    </xf>
    <xf numFmtId="0" fontId="4" fillId="0" borderId="16" xfId="0" applyFont="1" applyBorder="1" applyAlignment="1" applyProtection="1">
      <alignment horizontal="center"/>
    </xf>
    <xf numFmtId="0" fontId="1" fillId="2" borderId="14"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14" xfId="0" applyFont="1" applyFill="1" applyBorder="1" applyAlignment="1" applyProtection="1">
      <alignment horizontal="center"/>
    </xf>
    <xf numFmtId="0" fontId="1" fillId="2" borderId="15" xfId="0" applyFont="1" applyFill="1" applyBorder="1" applyAlignment="1" applyProtection="1">
      <alignment horizontal="center"/>
    </xf>
    <xf numFmtId="0" fontId="4" fillId="0" borderId="22" xfId="0" applyFont="1" applyBorder="1" applyAlignment="1" applyProtection="1">
      <alignment horizontal="center" wrapText="1"/>
    </xf>
    <xf numFmtId="0" fontId="4" fillId="0" borderId="0" xfId="0" applyFont="1" applyAlignment="1">
      <alignment horizontal="center" vertical="center"/>
    </xf>
    <xf numFmtId="0" fontId="0" fillId="0" borderId="0" xfId="0" applyAlignment="1">
      <alignment horizontal="left" vertical="center"/>
    </xf>
    <xf numFmtId="0" fontId="4" fillId="0" borderId="0" xfId="0" applyFont="1" applyAlignment="1">
      <alignment horizontal="center"/>
    </xf>
  </cellXfs>
  <cellStyles count="2">
    <cellStyle name="Normal" xfId="0" builtinId="0"/>
    <cellStyle name="Normal 2" xfId="1" xr:uid="{11E0B70D-8550-4B5C-9BE2-F99229CAB0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Structural budget balance of Estonia with different measures</a:t>
            </a:r>
            <a:r>
              <a:rPr lang="en-US" baseline="0"/>
              <a:t> </a:t>
            </a:r>
            <a:r>
              <a:rPr lang="en-US"/>
              <a:t>of budgetary sensitivity</a:t>
            </a:r>
            <a:endParaRPr lang="et-EE"/>
          </a:p>
        </c:rich>
      </c:tx>
      <c:layout>
        <c:manualLayout>
          <c:xMode val="edge"/>
          <c:yMode val="edge"/>
          <c:x val="0.13338181818181821"/>
          <c:y val="1.844532279314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t-EE"/>
        </a:p>
      </c:txPr>
    </c:title>
    <c:autoTitleDeleted val="0"/>
    <c:plotArea>
      <c:layout>
        <c:manualLayout>
          <c:layoutTarget val="inner"/>
          <c:xMode val="edge"/>
          <c:yMode val="edge"/>
          <c:x val="4.2137036506800285E-2"/>
          <c:y val="0.14276679841897233"/>
          <c:w val="0.94186296349319976"/>
          <c:h val="0.68595520421607381"/>
        </c:manualLayout>
      </c:layout>
      <c:lineChart>
        <c:grouping val="standard"/>
        <c:varyColors val="0"/>
        <c:ser>
          <c:idx val="0"/>
          <c:order val="0"/>
          <c:tx>
            <c:strRef>
              <c:f>'Structural balance'!$E$1</c:f>
              <c:strCache>
                <c:ptCount val="1"/>
                <c:pt idx="0">
                  <c:v>Structural balance if ɛ = 0,486</c:v>
                </c:pt>
              </c:strCache>
            </c:strRef>
          </c:tx>
          <c:spPr>
            <a:ln w="28575" cap="rnd">
              <a:solidFill>
                <a:schemeClr val="accent1"/>
              </a:solidFill>
              <a:round/>
            </a:ln>
            <a:effectLst/>
          </c:spPr>
          <c:marker>
            <c:symbol val="none"/>
          </c:marker>
          <c:cat>
            <c:numRef>
              <c:f>'Structural balance'!$A$2:$A$19</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'Structural balance'!$E$2:$E$19</c:f>
              <c:numCache>
                <c:formatCode>0.0</c:formatCode>
                <c:ptCount val="18"/>
                <c:pt idx="0">
                  <c:v>0.45029849501841146</c:v>
                </c:pt>
                <c:pt idx="1">
                  <c:v>0.11278672455539782</c:v>
                </c:pt>
                <c:pt idx="2">
                  <c:v>0.88287107671760223</c:v>
                </c:pt>
                <c:pt idx="3">
                  <c:v>0.86357269226925071</c:v>
                </c:pt>
                <c:pt idx="4">
                  <c:v>-1.9489008067060276E-2</c:v>
                </c:pt>
                <c:pt idx="5">
                  <c:v>-1.5317998725124504</c:v>
                </c:pt>
                <c:pt idx="6">
                  <c:v>-1.7015291147379767</c:v>
                </c:pt>
                <c:pt idx="7">
                  <c:v>-1.1440435858261244</c:v>
                </c:pt>
                <c:pt idx="8">
                  <c:v>-3.8934000000000006</c:v>
                </c:pt>
                <c:pt idx="9">
                  <c:v>-4.3185909652151251</c:v>
                </c:pt>
                <c:pt idx="10">
                  <c:v>-1.5276422316616725</c:v>
                </c:pt>
                <c:pt idx="11">
                  <c:v>-1.2532000000000003</c:v>
                </c:pt>
                <c:pt idx="12">
                  <c:v>0.6384000000000003</c:v>
                </c:pt>
                <c:pt idx="13">
                  <c:v>0.24960000000000004</c:v>
                </c:pt>
                <c:pt idx="14">
                  <c:v>-1.4794</c:v>
                </c:pt>
                <c:pt idx="15">
                  <c:v>-1.514</c:v>
                </c:pt>
                <c:pt idx="16">
                  <c:v>-1.0514000000000001</c:v>
                </c:pt>
                <c:pt idx="17">
                  <c:v>-2.6915999999999998</c:v>
                </c:pt>
              </c:numCache>
            </c:numRef>
          </c:val>
          <c:smooth val="0"/>
          <c:extLst>
            <c:ext xmlns:c16="http://schemas.microsoft.com/office/drawing/2014/chart" uri="{C3380CC4-5D6E-409C-BE32-E72D297353CC}">
              <c16:uniqueId val="{00000000-AEA7-4E9D-AF16-DD1E87EF963E}"/>
            </c:ext>
          </c:extLst>
        </c:ser>
        <c:ser>
          <c:idx val="1"/>
          <c:order val="1"/>
          <c:tx>
            <c:strRef>
              <c:f>'Structural balance'!$F$1</c:f>
              <c:strCache>
                <c:ptCount val="1"/>
                <c:pt idx="0">
                  <c:v>Structural balance if ɛ = 0,297</c:v>
                </c:pt>
              </c:strCache>
            </c:strRef>
          </c:tx>
          <c:spPr>
            <a:ln w="28575" cap="rnd">
              <a:solidFill>
                <a:schemeClr val="accent2"/>
              </a:solidFill>
              <a:round/>
            </a:ln>
            <a:effectLst/>
          </c:spPr>
          <c:marker>
            <c:symbol val="none"/>
          </c:marker>
          <c:cat>
            <c:numRef>
              <c:f>'Structural balance'!$A$2:$A$19</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'Structural balance'!$F$2:$F$19</c:f>
              <c:numCache>
                <c:formatCode>0.0</c:formatCode>
                <c:ptCount val="18"/>
                <c:pt idx="0">
                  <c:v>0.43143962370841149</c:v>
                </c:pt>
                <c:pt idx="1">
                  <c:v>5.6210110625397838E-2</c:v>
                </c:pt>
                <c:pt idx="2">
                  <c:v>0.9771654332676023</c:v>
                </c:pt>
                <c:pt idx="3">
                  <c:v>0.82585494964925066</c:v>
                </c:pt>
                <c:pt idx="4">
                  <c:v>5.5946477172939713E-2</c:v>
                </c:pt>
                <c:pt idx="5">
                  <c:v>-1.0037514758324506</c:v>
                </c:pt>
                <c:pt idx="6">
                  <c:v>-1.2300573319879768</c:v>
                </c:pt>
                <c:pt idx="7">
                  <c:v>-0.71028954569612446</c:v>
                </c:pt>
                <c:pt idx="8">
                  <c:v>-4.4780250106100006</c:v>
                </c:pt>
                <c:pt idx="9">
                  <c:v>-4.0168490242551247</c:v>
                </c:pt>
                <c:pt idx="10">
                  <c:v>-1.4522067464216726</c:v>
                </c:pt>
                <c:pt idx="11">
                  <c:v>-1.96983710978</c:v>
                </c:pt>
                <c:pt idx="12">
                  <c:v>-0.19139033763999991</c:v>
                </c:pt>
                <c:pt idx="13">
                  <c:v>-0.42931936715999997</c:v>
                </c:pt>
                <c:pt idx="14">
                  <c:v>-1.8754362975099999</c:v>
                </c:pt>
                <c:pt idx="15">
                  <c:v>-1.7025887130999999</c:v>
                </c:pt>
                <c:pt idx="16">
                  <c:v>-1.0702588713100001</c:v>
                </c:pt>
                <c:pt idx="17">
                  <c:v>-2.57844677214</c:v>
                </c:pt>
              </c:numCache>
            </c:numRef>
          </c:val>
          <c:smooth val="0"/>
          <c:extLst>
            <c:ext xmlns:c16="http://schemas.microsoft.com/office/drawing/2014/chart" uri="{C3380CC4-5D6E-409C-BE32-E72D297353CC}">
              <c16:uniqueId val="{00000003-4C46-406A-9641-510477C70207}"/>
            </c:ext>
          </c:extLst>
        </c:ser>
        <c:dLbls>
          <c:showLegendKey val="0"/>
          <c:showVal val="0"/>
          <c:showCatName val="0"/>
          <c:showSerName val="0"/>
          <c:showPercent val="0"/>
          <c:showBubbleSize val="0"/>
        </c:dLbls>
        <c:smooth val="0"/>
        <c:axId val="794128799"/>
        <c:axId val="794112991"/>
      </c:lineChart>
      <c:catAx>
        <c:axId val="794128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794112991"/>
        <c:crosses val="autoZero"/>
        <c:auto val="1"/>
        <c:lblAlgn val="ctr"/>
        <c:lblOffset val="100"/>
        <c:noMultiLvlLbl val="0"/>
      </c:catAx>
      <c:valAx>
        <c:axId val="79411299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794128799"/>
        <c:crosses val="autoZero"/>
        <c:crossBetween val="between"/>
      </c:valAx>
      <c:spPr>
        <a:noFill/>
        <a:ln>
          <a:noFill/>
        </a:ln>
        <a:effectLst/>
      </c:spPr>
    </c:plotArea>
    <c:legend>
      <c:legendPos val="t"/>
      <c:layout>
        <c:manualLayout>
          <c:xMode val="edge"/>
          <c:yMode val="edge"/>
          <c:x val="0.68127585746696906"/>
          <c:y val="0.13644721702050855"/>
          <c:w val="0.27971646263785593"/>
          <c:h val="0.105659364212711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723900</xdr:colOff>
      <xdr:row>18</xdr:row>
      <xdr:rowOff>146050</xdr:rowOff>
    </xdr:from>
    <xdr:to>
      <xdr:col>6</xdr:col>
      <xdr:colOff>196850</xdr:colOff>
      <xdr:row>41</xdr:row>
      <xdr:rowOff>50800</xdr:rowOff>
    </xdr:to>
    <xdr:graphicFrame macro="">
      <xdr:nvGraphicFramePr>
        <xdr:cNvPr id="3" name="Chart 2">
          <a:extLst>
            <a:ext uri="{FF2B5EF4-FFF2-40B4-BE49-F238E27FC236}">
              <a16:creationId xmlns:a16="http://schemas.microsoft.com/office/drawing/2014/main" id="{3E1E5C78-2655-4CFD-9128-3252D3F8E1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0.02618</cdr:x>
      <cdr:y>0.88801</cdr:y>
    </cdr:from>
    <cdr:to>
      <cdr:x>0.67345</cdr:x>
      <cdr:y>0.95389</cdr:y>
    </cdr:to>
    <cdr:sp macro="" textlink="">
      <cdr:nvSpPr>
        <cdr:cNvPr id="2" name="TextBox 1">
          <a:extLst xmlns:a="http://schemas.openxmlformats.org/drawingml/2006/main">
            <a:ext uri="{FF2B5EF4-FFF2-40B4-BE49-F238E27FC236}">
              <a16:creationId xmlns:a16="http://schemas.microsoft.com/office/drawing/2014/main" id="{6150AF8D-D964-466A-8692-1A1D25657056}"/>
            </a:ext>
          </a:extLst>
        </cdr:cNvPr>
        <cdr:cNvSpPr txBox="1"/>
      </cdr:nvSpPr>
      <cdr:spPr>
        <a:xfrm xmlns:a="http://schemas.openxmlformats.org/drawingml/2006/main">
          <a:off x="228600" y="4279900"/>
          <a:ext cx="5651500" cy="317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t-EE" sz="1100"/>
        </a:p>
      </cdr:txBody>
    </cdr:sp>
  </cdr:relSizeAnchor>
  <cdr:relSizeAnchor xmlns:cdr="http://schemas.openxmlformats.org/drawingml/2006/chartDrawing">
    <cdr:from>
      <cdr:x>0.01964</cdr:x>
      <cdr:y>0.88252</cdr:y>
    </cdr:from>
    <cdr:to>
      <cdr:x>0.98691</cdr:x>
      <cdr:y>0.98155</cdr:y>
    </cdr:to>
    <cdr:sp macro="" textlink="">
      <cdr:nvSpPr>
        <cdr:cNvPr id="3" name="TextBox 2">
          <a:extLst xmlns:a="http://schemas.openxmlformats.org/drawingml/2006/main">
            <a:ext uri="{FF2B5EF4-FFF2-40B4-BE49-F238E27FC236}">
              <a16:creationId xmlns:a16="http://schemas.microsoft.com/office/drawing/2014/main" id="{ABCE2EDD-2FAB-4A07-B696-BE6D47099A5B}"/>
            </a:ext>
          </a:extLst>
        </cdr:cNvPr>
        <cdr:cNvSpPr txBox="1"/>
      </cdr:nvSpPr>
      <cdr:spPr>
        <a:xfrm xmlns:a="http://schemas.openxmlformats.org/drawingml/2006/main">
          <a:off x="161879" y="3911600"/>
          <a:ext cx="7972529" cy="4389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t-EE" sz="1000" i="1"/>
            <a:t>Note: In the calculations, Ministry of Finance data on output gaps and one-off measures are used. The nominal budget balance data is from Statistics Estonia up to the year 2024, and from then onward, it is based on the Ministry of Finance forecast (spring 2025).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169CA-7884-4311-952B-06DA9C99AC06}">
  <dimension ref="A1:I43"/>
  <sheetViews>
    <sheetView tabSelected="1" workbookViewId="0">
      <selection activeCell="B5" sqref="B5:C5"/>
    </sheetView>
  </sheetViews>
  <sheetFormatPr defaultRowHeight="15.5" x14ac:dyDescent="0.35"/>
  <cols>
    <col min="1" max="1" width="32.25" style="16" customWidth="1"/>
    <col min="2" max="3" width="17.83203125" style="16" customWidth="1"/>
    <col min="4" max="4" width="18.83203125" style="16" customWidth="1"/>
    <col min="5" max="5" width="16.83203125" style="16" customWidth="1"/>
    <col min="6" max="6" width="11.5" style="16" customWidth="1"/>
    <col min="7" max="7" width="13.08203125" style="16" customWidth="1"/>
    <col min="8" max="8" width="14.25" style="16" customWidth="1"/>
    <col min="9" max="9" width="8.58203125" style="16" hidden="1" customWidth="1"/>
    <col min="10" max="11" width="8.6640625" style="16"/>
    <col min="12" max="12" width="12.83203125" style="16" customWidth="1"/>
    <col min="13" max="16384" width="8.6640625" style="16"/>
  </cols>
  <sheetData>
    <row r="1" spans="1:9" ht="16" thickBot="1" x14ac:dyDescent="0.4">
      <c r="A1" s="15" t="s">
        <v>22</v>
      </c>
      <c r="B1" s="61" t="s">
        <v>25</v>
      </c>
      <c r="C1" s="62"/>
    </row>
    <row r="2" spans="1:9" ht="16" thickTop="1" x14ac:dyDescent="0.35">
      <c r="A2" s="17" t="s">
        <v>9</v>
      </c>
      <c r="B2" s="65" t="s">
        <v>6</v>
      </c>
      <c r="C2" s="66"/>
      <c r="I2" s="16">
        <f>MATCH(B2,Assumptions!A2:A4,0)</f>
        <v>1</v>
      </c>
    </row>
    <row r="3" spans="1:9" ht="31" x14ac:dyDescent="0.35">
      <c r="A3" s="18" t="s">
        <v>10</v>
      </c>
      <c r="B3" s="65" t="s">
        <v>15</v>
      </c>
      <c r="C3" s="66"/>
      <c r="I3" s="16">
        <f>MATCH(B3,Assumptions!A7:A8,0)</f>
        <v>2</v>
      </c>
    </row>
    <row r="4" spans="1:9" x14ac:dyDescent="0.35">
      <c r="A4" s="17" t="s">
        <v>11</v>
      </c>
      <c r="B4" s="65" t="s">
        <v>17</v>
      </c>
      <c r="C4" s="66"/>
      <c r="I4" s="16">
        <f>MATCH(B4,Assumptions!A11:A13,0)</f>
        <v>2</v>
      </c>
    </row>
    <row r="5" spans="1:9" ht="31" x14ac:dyDescent="0.35">
      <c r="A5" s="18" t="s">
        <v>23</v>
      </c>
      <c r="B5" s="65" t="s">
        <v>69</v>
      </c>
      <c r="C5" s="66"/>
      <c r="I5" s="16">
        <f>MATCH(B5,Assumptions!A16:A18,0)</f>
        <v>2</v>
      </c>
    </row>
    <row r="6" spans="1:9" x14ac:dyDescent="0.35">
      <c r="A6" s="17" t="s">
        <v>72</v>
      </c>
      <c r="B6" s="65" t="s">
        <v>75</v>
      </c>
      <c r="C6" s="66"/>
      <c r="I6" s="16">
        <f>MATCH(B6,Assumptions!A21:A23,0)</f>
        <v>3</v>
      </c>
    </row>
    <row r="7" spans="1:9" ht="16" thickBot="1" x14ac:dyDescent="0.4">
      <c r="A7" s="19" t="s">
        <v>13</v>
      </c>
      <c r="B7" s="67" t="s">
        <v>21</v>
      </c>
      <c r="C7" s="68"/>
      <c r="I7" s="16">
        <f>MATCH(B7,Assumptions!A26:A27,0)</f>
        <v>2</v>
      </c>
    </row>
    <row r="8" spans="1:9" ht="16" thickBot="1" x14ac:dyDescent="0.4"/>
    <row r="9" spans="1:9" ht="15.65" customHeight="1" x14ac:dyDescent="0.35">
      <c r="A9" s="56"/>
      <c r="B9" s="58" t="s">
        <v>61</v>
      </c>
      <c r="C9" s="59"/>
      <c r="D9" s="60"/>
      <c r="E9" s="75" t="s">
        <v>42</v>
      </c>
      <c r="F9" s="60"/>
      <c r="G9" s="69" t="s">
        <v>56</v>
      </c>
      <c r="H9" s="70"/>
    </row>
    <row r="10" spans="1:9" s="25" customFormat="1" ht="45" customHeight="1" thickBot="1" x14ac:dyDescent="0.4">
      <c r="A10" s="57"/>
      <c r="B10" s="20" t="s">
        <v>65</v>
      </c>
      <c r="C10" s="20" t="s">
        <v>62</v>
      </c>
      <c r="D10" s="21" t="s">
        <v>66</v>
      </c>
      <c r="E10" s="22" t="s">
        <v>67</v>
      </c>
      <c r="F10" s="23" t="s">
        <v>5</v>
      </c>
      <c r="G10" s="24" t="s">
        <v>68</v>
      </c>
      <c r="H10" s="23" t="s">
        <v>58</v>
      </c>
    </row>
    <row r="11" spans="1:9" ht="15" customHeight="1" x14ac:dyDescent="0.35">
      <c r="A11" s="26" t="s">
        <v>57</v>
      </c>
      <c r="B11" s="71"/>
      <c r="C11" s="72"/>
      <c r="D11" s="72"/>
      <c r="E11" s="27"/>
      <c r="F11" s="28">
        <f>IF(AND(I7=1,I2=1),38.3,IF(AND(I7=2,I2=1),39.1,IF(AND(I7=1,I2=2),38,IF(AND(I7=2,I2=2),38.8,IF(I2=3,38.8,0)))))</f>
        <v>39.1</v>
      </c>
      <c r="G11" s="29">
        <f>((((D12*E12+D13*E13+D14*E14+D15*E15)/100)-1)*F11/100)</f>
        <v>-0.12153300509999999</v>
      </c>
      <c r="H11" s="63">
        <f>G11-G16</f>
        <v>0.29741128690000002</v>
      </c>
    </row>
    <row r="12" spans="1:9" ht="15" customHeight="1" x14ac:dyDescent="0.35">
      <c r="A12" s="30" t="s">
        <v>4</v>
      </c>
      <c r="B12" s="31">
        <f>IF(AND(I2=1,I3=1),1.03,IF(AND(I2=1,I3=2),1.12,IF(AND(I2=2,I3=1),1.09,IF(AND(I2=2,I3=2),1.14,IF(AND(I2=3,I3=1),1.12,IF(AND(I2=3,I3=2),1.32,0))))))</f>
        <v>1.1200000000000001</v>
      </c>
      <c r="C12" s="31">
        <f>IF(AND(I3=1,I6=1,I2=1),0.5,IF(AND(I3=1,I6=1,I2=2),0.53,IF(AND(I3=1,I6=1,I2=3),1.26,IF(AND(I3=1,I6=2,I2=1),0.62,IF(AND(I3=1,I6=2,I2=2),0.66,IF(AND(I3=1,I6=2,I2=3),1.42,IF(AND(I3=1,I6=3,I2=1),0.63,IF(AND(I3=1,I6=3,I2=2),0.71,IF(AND(I3=1,I6=3,I2=3),1.36,IF(AND(I3=2,I6=1,I2=1),0.53,IF(AND(I3=2,I6=1,I2=2),0.61,IF(AND(I3=2,I6=1,I2=3),0.76,IF(AND(I3=2,I6=2,I2=1),0.73,IF(AND(I3=2,I6=2,I2=2),0.73,IF(AND(I3=2,I6=2,I2=3),0.96,IF(AND(I3=2,I6=3,I2=1),0.75,IF(AND(I3=2,I6=3,I2=2),0.76,IF(AND(I3=2,I6=3,I2=3),0.89,0))))))))))))))))))</f>
        <v>0.75</v>
      </c>
      <c r="D12" s="32">
        <f>B12*C12</f>
        <v>0.84000000000000008</v>
      </c>
      <c r="E12" s="33">
        <f>IF(AND(I7=1,I2=1),16.1,IF(AND(I7=2,I2=1),14.9,IF(AND(I7=1,I2=2),16.2,IF(AND(I7=2,I2=2),13.9,IF(I2=3,13.9,0)))))</f>
        <v>14.9</v>
      </c>
      <c r="F12" s="34"/>
      <c r="G12" s="35"/>
      <c r="H12" s="63"/>
    </row>
    <row r="13" spans="1:9" ht="15" customHeight="1" x14ac:dyDescent="0.35">
      <c r="A13" s="30" t="s">
        <v>3</v>
      </c>
      <c r="B13" s="31">
        <f>IF(AND(I2=1,I3=1),0.9,IF(AND(I2=1,I3=2),0.93,IF(AND(I2=2,I3=1),0.91,IF(AND(I2=2,I3=2),0.92,IF(AND(I2=3,I3=1),0.69,IF(AND(I2=3,I3=2),0.88,0))))))</f>
        <v>0.93</v>
      </c>
      <c r="C13" s="31">
        <f>IF(AND(I3=1,I6=1,I2=1),0.5,IF(AND(I3=1,I6=1,I2=2),0.53,IF(AND(I3=1,I6=1,I2=3),1.26,IF(AND(I3=1,I6=2,I2=1),0.62,IF(AND(I3=1,I6=2,I2=2),0.66,IF(AND(I3=1,I6=2,I2=3),1.42,IF(AND(I3=1,I6=3,I2=1),0.63,IF(AND(I3=1,I6=3,I2=2),0.71,IF(AND(I3=1,I6=3,I2=3),1.36,IF(AND(I3=2,I6=1,I2=1),0.53,IF(AND(I3=2,I6=1,I2=2),0.61,IF(AND(I3=2,I6=1,I2=3),0.76,IF(AND(I3=2,I6=2,I2=1),0.73,IF(AND(I3=2,I6=2,I2=2),0.73,IF(AND(I3=2,I6=2,I2=3),0.96,IF(AND(I3=2,I6=3,I2=1),0.75,IF(AND(I3=2,I6=3,I2=2),0.76,IF(AND(I3=2,I6=3,I2=3),0.89,0))))))))))))))))))</f>
        <v>0.75</v>
      </c>
      <c r="D13" s="32">
        <f>B13*C13</f>
        <v>0.69750000000000001</v>
      </c>
      <c r="E13" s="33">
        <f>IF(AND(I7=1,I2=1),29.6,IF(AND(I7=2,I2=1),29.9,IF(AND(I7=1,I2=2),29.5,IF(AND(I7=2,I2=2),29.6,IF(I2=3,29.6,0)))))</f>
        <v>29.9</v>
      </c>
      <c r="F13" s="36"/>
      <c r="G13" s="35"/>
      <c r="H13" s="63"/>
    </row>
    <row r="14" spans="1:9" ht="15" customHeight="1" x14ac:dyDescent="0.35">
      <c r="A14" s="30" t="s">
        <v>2</v>
      </c>
      <c r="B14" s="31">
        <f>IF(AND(I2=1,I4=2),0.97,IF(AND(I2=1,I4=3),0.99,IF(AND(I2=2,I4=2),1.04,IF(AND(I2=2,I4=3),1.09,IF(AND(I2=3,I4=2),1,IF(AND(I2=3,I4=3),0.99,IF(I4=1,1,0)))))))</f>
        <v>0.97</v>
      </c>
      <c r="C14" s="31">
        <f>IF(I4=1,1,IF(AND(I4=2,I6=1,I2=1),0.87,IF(AND(I4=2,I6=1,I2=2),0.91,IF(AND(I4=2,I6=1,I2=3),0.62,IF(AND(I4=2,I6=2,I2=1),0.87,IF(AND(I4=2,I6=2,I2=2),0.91,IF(AND(I4=2,I6=2,I2=3),0.56,IF(AND(I4=2,I6=3,I2=1),0.86,IF(AND(I4=2,I6=3,I2=2),0.89,IF(AND(I4=2,I6=3,I2=3),0.54,IF(AND(I4=3,I6=1,I2=1),0.62,IF(AND(I4=3,I6=1,I2=2),0.63,IF(AND(I4=3,I6=1,I2=3),0.51,IF(AND(I4=3,I6=2,I2=1),0.64,IF(AND(I4=3,I6=2,I2=2),0.67,IF(AND(I4=3,I6=2,I2=3),0.53,IF(AND(I4=3,I6=3,I2=1),0.63,IF(AND(I4=3,I6=3,I2=2),0.65,IF(AND(I4=3,I6=3,I2=3),0.44,0)))))))))))))))))))</f>
        <v>0.86</v>
      </c>
      <c r="D14" s="32">
        <f>B14*C14</f>
        <v>0.83419999999999994</v>
      </c>
      <c r="E14" s="33">
        <f>IF(AND(I7=1,I2=1),31.9,IF(AND(I7=2,I2=1),32.1,IF(AND(I7=1,I2=2),32.1,IF(AND(I7=2,I2=2),32.9,IF(I2=3,32.9,0)))))</f>
        <v>32.1</v>
      </c>
      <c r="F14" s="36"/>
      <c r="G14" s="35"/>
      <c r="H14" s="63"/>
    </row>
    <row r="15" spans="1:9" ht="15" customHeight="1" thickBot="1" x14ac:dyDescent="0.4">
      <c r="A15" s="37" t="s">
        <v>1</v>
      </c>
      <c r="B15" s="38">
        <f>IF(I2=1,0.94,IF(I2=2,1.03,IF(I2=3,0.78,0)))</f>
        <v>0.94</v>
      </c>
      <c r="C15" s="38">
        <f>IF(AND(I6=1,I2=1),2.69,IF(AND(I6=1,I2=2),2.62,IF(AND(I6=1,I2=3),2.35,IF(AND(I6=2,I2=1),2.08,IF(AND(I6=2,I2=2),2.15,IF(AND(I6=2,I2=3),1.33,IF(AND(I6=3,I2=1),2.12,IF(AND(I6=3,I2=2),2.15,IF(AND(I6=3,I2=3),1.54,0)))))))))</f>
        <v>2.12</v>
      </c>
      <c r="D15" s="39">
        <f>B15*C15</f>
        <v>1.9927999999999999</v>
      </c>
      <c r="E15" s="40">
        <f>IF(AND(I7=1,I2=1),4.2,IF(AND(I7=2,I2=1),4.4,IF(AND(I7=1,I2=2),4.2,IF(AND(I7=2,I2=2),4.2,IF(I2=3,4.2,0)))))</f>
        <v>4.4000000000000004</v>
      </c>
      <c r="F15" s="41"/>
      <c r="G15" s="42"/>
      <c r="H15" s="63"/>
    </row>
    <row r="16" spans="1:9" ht="15" customHeight="1" x14ac:dyDescent="0.35">
      <c r="A16" s="43" t="s">
        <v>64</v>
      </c>
      <c r="B16" s="73"/>
      <c r="C16" s="74"/>
      <c r="D16" s="74"/>
      <c r="E16" s="44"/>
      <c r="F16" s="28">
        <f>IF(AND(I7=1,I2=1),38.5,IF(AND(I7=2,I2=1),40.3,IF(AND(I7=1,I2=2),37.9,IF(AND(I7=2,I2=2),38.9,IF(I2=3,38.9,0)))))</f>
        <v>40.299999999999997</v>
      </c>
      <c r="G16" s="29">
        <f>(((D17*E17/100)-1)*F16/100)</f>
        <v>-0.418944292</v>
      </c>
      <c r="H16" s="63"/>
    </row>
    <row r="17" spans="1:8" ht="30" customHeight="1" thickBot="1" x14ac:dyDescent="0.4">
      <c r="A17" s="37" t="s">
        <v>0</v>
      </c>
      <c r="B17" s="38">
        <f>IF(AND(I2=1,I5=2),0.5,IF(AND(I2=1,I5=3),1.08,IF(AND(I2=2,I5=2),0.55,IF(AND(I2=2,I5=3),1.06,IF(AND(I2=3,I5=2),-0.21,IF(AND(I2=3,I5=3),0.5,IF(I5=1,1,0)))))))</f>
        <v>0.5</v>
      </c>
      <c r="C17" s="38">
        <f>IF(AND(I6=1,I2=1),-4.55,IF(AND(I6=1,I2=2),-4.19,IF(AND(I6=1,I2=3),-7.65,IF(AND(I6=2,I2=1),-4.52,IF(AND(I6=2,I2=2),-4.55,IF(AND(I6=2,I2=3),-8.44,IF(AND(I6=3,I2=1),-4.71,IF(AND(I6=3,I2=2),-4.69,IF(AND(I6=3,I2=3),-8.59,0)))))))))</f>
        <v>-4.71</v>
      </c>
      <c r="D17" s="39">
        <f>B17*C17</f>
        <v>-2.355</v>
      </c>
      <c r="E17" s="40">
        <f>IF(AND(I5=2,I7=1,I2=1),1.2,IF(AND(I5=2,I7=2,I2=1),1.68,IF(AND(I5=2,I7=1,I2=2),1.07,IF(AND(I5=2,I7=2,I2=2),1.51,IF(AND(I5=2,I2=3),1.51,IF(AND(I5=3,I7=1,I2=1),0.84,IF(AND(I5=3,I7=2,I2=1),0.93,IF(AND(I5=3,I7=1,I2=2),0.76,IF(AND(I5=3,I7=2,I2=2),0.9,IF(AND(I5=3,I2=3),0.9,0))))))))))</f>
        <v>1.68</v>
      </c>
      <c r="F17" s="45"/>
      <c r="G17" s="46"/>
      <c r="H17" s="64"/>
    </row>
    <row r="43" spans="1:1" x14ac:dyDescent="0.35">
      <c r="A43" s="47"/>
    </row>
  </sheetData>
  <sheetProtection algorithmName="SHA-512" hashValue="oCyE6QevuRZlxbx+DIplekch34teSdhclsSuaPHprZlv4GIdRPy+qibgOSh/sHS6eORyouFt/dy1RwuaavAZ4A==" saltValue="2VZM5urshiwNU3WCdqkewg==" spinCount="100000" sheet="1" objects="1" scenarios="1" selectLockedCells="1"/>
  <protectedRanges>
    <protectedRange sqref="B2:C7" name="Range4"/>
  </protectedRanges>
  <mergeCells count="14">
    <mergeCell ref="A9:A10"/>
    <mergeCell ref="B9:D9"/>
    <mergeCell ref="B1:C1"/>
    <mergeCell ref="H11:H17"/>
    <mergeCell ref="B2:C2"/>
    <mergeCell ref="B3:C3"/>
    <mergeCell ref="B4:C4"/>
    <mergeCell ref="B5:C5"/>
    <mergeCell ref="B6:C6"/>
    <mergeCell ref="B7:C7"/>
    <mergeCell ref="G9:H9"/>
    <mergeCell ref="B11:D11"/>
    <mergeCell ref="B16:D16"/>
    <mergeCell ref="E9:F9"/>
  </mergeCells>
  <phoneticPr fontId="7" type="noConversion"/>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BEBC452-73F9-4835-BD7F-B4EBBEF877E3}">
          <x14:formula1>
            <xm:f>Assumptions!$A$2:$A$4</xm:f>
          </x14:formula1>
          <xm:sqref>B2</xm:sqref>
        </x14:dataValidation>
        <x14:dataValidation type="list" allowBlank="1" showInputMessage="1" showErrorMessage="1" xr:uid="{DB0769D5-B3B4-4B5E-B8A6-1B27C2E735EF}">
          <x14:formula1>
            <xm:f>Assumptions!$A$7:$A$8</xm:f>
          </x14:formula1>
          <xm:sqref>B3</xm:sqref>
        </x14:dataValidation>
        <x14:dataValidation type="list" allowBlank="1" showInputMessage="1" showErrorMessage="1" xr:uid="{2A8C29B3-3FAC-407F-A72B-531386479DCD}">
          <x14:formula1>
            <xm:f>Assumptions!$A$11:$A$13</xm:f>
          </x14:formula1>
          <xm:sqref>B4</xm:sqref>
        </x14:dataValidation>
        <x14:dataValidation type="list" allowBlank="1" showInputMessage="1" showErrorMessage="1" xr:uid="{B0E1805D-D0E8-44F0-9B40-A0DACF05BBC4}">
          <x14:formula1>
            <xm:f>Assumptions!$A$16:$A$18</xm:f>
          </x14:formula1>
          <xm:sqref>B5</xm:sqref>
        </x14:dataValidation>
        <x14:dataValidation type="list" allowBlank="1" showInputMessage="1" showErrorMessage="1" xr:uid="{3D18F4A7-BEAE-466E-8B84-62CB9407E824}">
          <x14:formula1>
            <xm:f>Assumptions!$A$21:$A$23</xm:f>
          </x14:formula1>
          <xm:sqref>B6</xm:sqref>
        </x14:dataValidation>
        <x14:dataValidation type="list" allowBlank="1" showInputMessage="1" showErrorMessage="1" xr:uid="{6736C4AD-A7F4-4AE1-AE70-0A2DA86336B0}">
          <x14:formula1>
            <xm:f>Assumptions!$A$26:$A$27</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AB50A-8683-4A46-835F-F8294D64FF43}">
  <dimension ref="A1:K67"/>
  <sheetViews>
    <sheetView workbookViewId="0">
      <selection activeCell="A24" sqref="A24"/>
    </sheetView>
  </sheetViews>
  <sheetFormatPr defaultRowHeight="15.5" x14ac:dyDescent="0.35"/>
  <cols>
    <col min="1" max="1" width="38.25" customWidth="1"/>
    <col min="2" max="4" width="8.08203125" customWidth="1"/>
    <col min="5" max="5" width="36.5" customWidth="1"/>
    <col min="6" max="6" width="13.5" customWidth="1"/>
    <col min="7" max="9" width="10.33203125" customWidth="1"/>
    <col min="10" max="10" width="10" customWidth="1"/>
  </cols>
  <sheetData>
    <row r="1" spans="1:8" s="1" customFormat="1" x14ac:dyDescent="0.35">
      <c r="A1" s="1" t="s">
        <v>9</v>
      </c>
      <c r="E1" s="1" t="s">
        <v>27</v>
      </c>
      <c r="F1"/>
      <c r="G1"/>
      <c r="H1"/>
    </row>
    <row r="2" spans="1:8" ht="15" customHeight="1" x14ac:dyDescent="0.35">
      <c r="A2" t="s">
        <v>6</v>
      </c>
      <c r="B2">
        <v>1</v>
      </c>
      <c r="F2" s="8" t="s">
        <v>6</v>
      </c>
      <c r="G2" s="8" t="s">
        <v>7</v>
      </c>
      <c r="H2" s="8" t="s">
        <v>8</v>
      </c>
    </row>
    <row r="3" spans="1:8" x14ac:dyDescent="0.35">
      <c r="A3" t="s">
        <v>7</v>
      </c>
      <c r="B3">
        <v>2</v>
      </c>
      <c r="E3" t="s">
        <v>14</v>
      </c>
      <c r="F3">
        <v>1.03</v>
      </c>
      <c r="G3">
        <v>1.0900000000000001</v>
      </c>
      <c r="H3">
        <v>1.1200000000000001</v>
      </c>
    </row>
    <row r="4" spans="1:8" x14ac:dyDescent="0.35">
      <c r="A4" t="s">
        <v>8</v>
      </c>
      <c r="B4">
        <v>3</v>
      </c>
      <c r="E4" t="s">
        <v>15</v>
      </c>
      <c r="F4">
        <v>1.1200000000000001</v>
      </c>
      <c r="G4">
        <v>1.1399999999999999</v>
      </c>
      <c r="H4">
        <v>1.32</v>
      </c>
    </row>
    <row r="6" spans="1:8" ht="31" x14ac:dyDescent="0.35">
      <c r="A6" s="5" t="s">
        <v>10</v>
      </c>
      <c r="E6" s="1" t="s">
        <v>28</v>
      </c>
    </row>
    <row r="7" spans="1:8" ht="15" customHeight="1" x14ac:dyDescent="0.35">
      <c r="A7" t="s">
        <v>14</v>
      </c>
      <c r="B7">
        <v>1</v>
      </c>
      <c r="F7" s="8" t="s">
        <v>6</v>
      </c>
      <c r="G7" s="8" t="s">
        <v>7</v>
      </c>
      <c r="H7" s="8" t="s">
        <v>8</v>
      </c>
    </row>
    <row r="8" spans="1:8" x14ac:dyDescent="0.35">
      <c r="A8" t="s">
        <v>15</v>
      </c>
      <c r="B8">
        <v>2</v>
      </c>
      <c r="E8" t="s">
        <v>14</v>
      </c>
      <c r="F8" s="9">
        <v>0.9</v>
      </c>
      <c r="G8">
        <v>0.91</v>
      </c>
      <c r="H8">
        <v>0.69</v>
      </c>
    </row>
    <row r="9" spans="1:8" x14ac:dyDescent="0.35">
      <c r="E9" t="s">
        <v>15</v>
      </c>
      <c r="F9">
        <v>0.93</v>
      </c>
      <c r="G9">
        <v>0.92</v>
      </c>
      <c r="H9">
        <v>0.88</v>
      </c>
    </row>
    <row r="10" spans="1:8" x14ac:dyDescent="0.35">
      <c r="A10" s="1" t="s">
        <v>11</v>
      </c>
    </row>
    <row r="11" spans="1:8" x14ac:dyDescent="0.35">
      <c r="A11" s="3" t="s">
        <v>16</v>
      </c>
      <c r="B11">
        <v>1</v>
      </c>
      <c r="E11" s="1" t="s">
        <v>29</v>
      </c>
    </row>
    <row r="12" spans="1:8" ht="15" customHeight="1" x14ac:dyDescent="0.35">
      <c r="A12" s="3" t="s">
        <v>17</v>
      </c>
      <c r="B12">
        <v>2</v>
      </c>
      <c r="F12" s="8" t="s">
        <v>6</v>
      </c>
      <c r="G12" s="8" t="s">
        <v>7</v>
      </c>
      <c r="H12" s="8" t="s">
        <v>8</v>
      </c>
    </row>
    <row r="13" spans="1:8" x14ac:dyDescent="0.35">
      <c r="A13" s="3" t="s">
        <v>18</v>
      </c>
      <c r="B13">
        <v>3</v>
      </c>
      <c r="E13" s="3" t="s">
        <v>17</v>
      </c>
      <c r="F13">
        <v>0.97</v>
      </c>
      <c r="G13">
        <v>1.04</v>
      </c>
      <c r="H13" s="9">
        <v>1</v>
      </c>
    </row>
    <row r="14" spans="1:8" x14ac:dyDescent="0.35">
      <c r="A14" s="1"/>
      <c r="E14" s="3" t="s">
        <v>18</v>
      </c>
      <c r="F14">
        <v>0.99</v>
      </c>
      <c r="G14">
        <v>1.0900000000000001</v>
      </c>
      <c r="H14">
        <v>0.99</v>
      </c>
    </row>
    <row r="15" spans="1:8" x14ac:dyDescent="0.35">
      <c r="A15" s="1" t="s">
        <v>12</v>
      </c>
    </row>
    <row r="16" spans="1:8" x14ac:dyDescent="0.35">
      <c r="A16" s="3" t="s">
        <v>16</v>
      </c>
      <c r="B16">
        <v>1</v>
      </c>
      <c r="E16" s="1" t="s">
        <v>30</v>
      </c>
    </row>
    <row r="17" spans="1:10" ht="31" x14ac:dyDescent="0.35">
      <c r="A17" s="4" t="s">
        <v>69</v>
      </c>
      <c r="B17">
        <v>2</v>
      </c>
      <c r="F17" s="8" t="s">
        <v>6</v>
      </c>
      <c r="G17" s="8" t="s">
        <v>7</v>
      </c>
      <c r="H17" s="8" t="s">
        <v>8</v>
      </c>
    </row>
    <row r="18" spans="1:10" ht="30" customHeight="1" x14ac:dyDescent="0.35">
      <c r="A18" s="2" t="s">
        <v>70</v>
      </c>
      <c r="B18">
        <v>3</v>
      </c>
      <c r="E18" s="2" t="s">
        <v>31</v>
      </c>
      <c r="F18" s="9">
        <v>0.94</v>
      </c>
      <c r="G18">
        <v>1.03</v>
      </c>
      <c r="H18">
        <v>0.78</v>
      </c>
    </row>
    <row r="20" spans="1:10" x14ac:dyDescent="0.35">
      <c r="A20" s="1" t="s">
        <v>72</v>
      </c>
      <c r="E20" s="1" t="s">
        <v>54</v>
      </c>
    </row>
    <row r="21" spans="1:10" ht="15" customHeight="1" x14ac:dyDescent="0.35">
      <c r="A21" s="2" t="s">
        <v>24</v>
      </c>
      <c r="B21">
        <v>1</v>
      </c>
      <c r="F21" s="8" t="s">
        <v>6</v>
      </c>
      <c r="G21" s="8" t="s">
        <v>7</v>
      </c>
      <c r="H21" s="8" t="s">
        <v>8</v>
      </c>
    </row>
    <row r="22" spans="1:10" ht="31" x14ac:dyDescent="0.35">
      <c r="A22" t="s">
        <v>73</v>
      </c>
      <c r="B22">
        <v>2</v>
      </c>
      <c r="E22" s="4" t="s">
        <v>19</v>
      </c>
      <c r="F22" s="9">
        <v>0.5</v>
      </c>
      <c r="G22">
        <v>0.55000000000000004</v>
      </c>
      <c r="H22" s="9">
        <v>-0.21</v>
      </c>
    </row>
    <row r="23" spans="1:10" ht="30" customHeight="1" x14ac:dyDescent="0.35">
      <c r="A23" t="s">
        <v>74</v>
      </c>
      <c r="B23">
        <v>3</v>
      </c>
      <c r="E23" s="2" t="s">
        <v>53</v>
      </c>
      <c r="F23">
        <v>1.08</v>
      </c>
      <c r="G23">
        <v>1.06</v>
      </c>
      <c r="H23" s="9">
        <v>0.5</v>
      </c>
    </row>
    <row r="25" spans="1:10" x14ac:dyDescent="0.35">
      <c r="A25" s="1" t="s">
        <v>13</v>
      </c>
    </row>
    <row r="26" spans="1:10" ht="15" customHeight="1" x14ac:dyDescent="0.35">
      <c r="A26" t="s">
        <v>20</v>
      </c>
      <c r="B26">
        <v>1</v>
      </c>
      <c r="E26" s="1" t="s">
        <v>32</v>
      </c>
    </row>
    <row r="27" spans="1:10" x14ac:dyDescent="0.35">
      <c r="A27" t="s">
        <v>21</v>
      </c>
      <c r="B27">
        <v>2</v>
      </c>
      <c r="E27" s="7" t="s">
        <v>34</v>
      </c>
      <c r="F27" s="7" t="s">
        <v>33</v>
      </c>
      <c r="G27" s="7" t="s">
        <v>6</v>
      </c>
      <c r="H27" s="7" t="s">
        <v>7</v>
      </c>
      <c r="I27" s="7" t="s">
        <v>8</v>
      </c>
    </row>
    <row r="28" spans="1:10" x14ac:dyDescent="0.35">
      <c r="E28" s="77" t="s">
        <v>14</v>
      </c>
      <c r="F28" s="2" t="s">
        <v>35</v>
      </c>
      <c r="G28" s="9">
        <v>0.5</v>
      </c>
      <c r="H28">
        <v>0.53</v>
      </c>
      <c r="I28">
        <v>1.26</v>
      </c>
    </row>
    <row r="29" spans="1:10" x14ac:dyDescent="0.35">
      <c r="E29" s="77"/>
      <c r="F29" t="s">
        <v>36</v>
      </c>
      <c r="G29" s="13">
        <v>0.62</v>
      </c>
      <c r="H29" s="13">
        <v>0.66</v>
      </c>
      <c r="I29" s="13">
        <v>1.42</v>
      </c>
      <c r="J29" s="13"/>
    </row>
    <row r="30" spans="1:10" x14ac:dyDescent="0.35">
      <c r="E30" s="77"/>
      <c r="F30" t="s">
        <v>37</v>
      </c>
      <c r="G30" s="13">
        <v>0.63</v>
      </c>
      <c r="H30" s="13">
        <v>0.71</v>
      </c>
      <c r="I30" s="13">
        <v>1.36</v>
      </c>
      <c r="J30" s="13"/>
    </row>
    <row r="31" spans="1:10" x14ac:dyDescent="0.35">
      <c r="E31" s="77" t="s">
        <v>15</v>
      </c>
      <c r="F31" s="2" t="s">
        <v>35</v>
      </c>
      <c r="G31" s="13">
        <v>0.53</v>
      </c>
      <c r="H31" s="13">
        <v>0.61</v>
      </c>
      <c r="I31" s="13">
        <v>0.76</v>
      </c>
      <c r="J31" s="13"/>
    </row>
    <row r="32" spans="1:10" x14ac:dyDescent="0.35">
      <c r="E32" s="77"/>
      <c r="F32" t="s">
        <v>36</v>
      </c>
      <c r="G32" s="13">
        <v>0.73</v>
      </c>
      <c r="H32" s="13">
        <v>0.73</v>
      </c>
      <c r="I32" s="13">
        <v>0.96</v>
      </c>
      <c r="J32" s="13"/>
    </row>
    <row r="33" spans="5:11" x14ac:dyDescent="0.35">
      <c r="E33" s="77"/>
      <c r="F33" t="s">
        <v>37</v>
      </c>
      <c r="G33" s="13">
        <v>0.75</v>
      </c>
      <c r="H33" s="13">
        <v>0.76</v>
      </c>
      <c r="I33" s="13">
        <v>0.89</v>
      </c>
      <c r="J33" s="13"/>
    </row>
    <row r="34" spans="5:11" x14ac:dyDescent="0.35">
      <c r="G34" s="13"/>
      <c r="H34" s="13"/>
      <c r="I34" s="13"/>
      <c r="J34" s="13"/>
    </row>
    <row r="35" spans="5:11" x14ac:dyDescent="0.35">
      <c r="E35" s="1" t="s">
        <v>38</v>
      </c>
    </row>
    <row r="36" spans="5:11" x14ac:dyDescent="0.35">
      <c r="E36" s="7" t="s">
        <v>34</v>
      </c>
      <c r="F36" s="7" t="s">
        <v>33</v>
      </c>
      <c r="G36" s="7" t="s">
        <v>6</v>
      </c>
      <c r="H36" s="7" t="s">
        <v>7</v>
      </c>
      <c r="I36" s="7" t="s">
        <v>8</v>
      </c>
    </row>
    <row r="37" spans="5:11" x14ac:dyDescent="0.35">
      <c r="E37" s="77" t="s">
        <v>39</v>
      </c>
      <c r="F37" s="2" t="s">
        <v>35</v>
      </c>
      <c r="G37">
        <v>0.87</v>
      </c>
      <c r="H37">
        <v>0.91</v>
      </c>
      <c r="I37">
        <v>0.62</v>
      </c>
    </row>
    <row r="38" spans="5:11" x14ac:dyDescent="0.35">
      <c r="E38" s="77"/>
      <c r="F38" s="13" t="s">
        <v>36</v>
      </c>
      <c r="G38" s="13">
        <v>0.87</v>
      </c>
      <c r="H38" s="13">
        <v>0.91</v>
      </c>
      <c r="I38" s="13">
        <v>0.56000000000000005</v>
      </c>
      <c r="J38" s="13"/>
    </row>
    <row r="39" spans="5:11" x14ac:dyDescent="0.35">
      <c r="E39" s="77"/>
      <c r="F39" s="13" t="s">
        <v>37</v>
      </c>
      <c r="G39" s="13">
        <v>0.86</v>
      </c>
      <c r="H39" s="13">
        <v>0.89</v>
      </c>
      <c r="I39" s="13">
        <v>0.54</v>
      </c>
      <c r="J39" s="13"/>
    </row>
    <row r="40" spans="5:11" x14ac:dyDescent="0.35">
      <c r="E40" s="77" t="s">
        <v>40</v>
      </c>
      <c r="F40" s="14" t="s">
        <v>35</v>
      </c>
      <c r="G40" s="13">
        <v>0.62</v>
      </c>
      <c r="H40" s="13">
        <v>0.63</v>
      </c>
      <c r="I40" s="13">
        <v>0.51</v>
      </c>
      <c r="J40" s="13"/>
    </row>
    <row r="41" spans="5:11" x14ac:dyDescent="0.35">
      <c r="E41" s="77"/>
      <c r="F41" s="13" t="s">
        <v>36</v>
      </c>
      <c r="G41" s="13">
        <v>0.64</v>
      </c>
      <c r="H41" s="13">
        <v>0.67</v>
      </c>
      <c r="I41" s="13">
        <v>0.53</v>
      </c>
      <c r="J41" s="13"/>
    </row>
    <row r="42" spans="5:11" x14ac:dyDescent="0.35">
      <c r="E42" s="77"/>
      <c r="F42" s="13" t="s">
        <v>37</v>
      </c>
      <c r="G42" s="13">
        <v>0.63</v>
      </c>
      <c r="H42" s="13">
        <v>0.65</v>
      </c>
      <c r="I42" s="13">
        <v>0.44</v>
      </c>
      <c r="J42" s="13"/>
    </row>
    <row r="43" spans="5:11" x14ac:dyDescent="0.35">
      <c r="F43" s="13"/>
      <c r="G43" s="13"/>
      <c r="H43" s="13"/>
      <c r="I43" s="13"/>
      <c r="J43" s="13"/>
      <c r="K43" s="10"/>
    </row>
    <row r="44" spans="5:11" x14ac:dyDescent="0.35">
      <c r="E44" s="1" t="s">
        <v>41</v>
      </c>
    </row>
    <row r="45" spans="5:11" x14ac:dyDescent="0.35">
      <c r="E45" s="7"/>
      <c r="F45" s="7" t="s">
        <v>6</v>
      </c>
      <c r="G45" s="7" t="s">
        <v>7</v>
      </c>
      <c r="H45" s="7" t="s">
        <v>8</v>
      </c>
    </row>
    <row r="46" spans="5:11" x14ac:dyDescent="0.35">
      <c r="E46" s="2" t="s">
        <v>35</v>
      </c>
      <c r="F46">
        <v>2.69</v>
      </c>
      <c r="G46">
        <v>2.62</v>
      </c>
      <c r="H46">
        <v>2.35</v>
      </c>
    </row>
    <row r="47" spans="5:11" x14ac:dyDescent="0.35">
      <c r="E47" t="s">
        <v>36</v>
      </c>
      <c r="F47" s="13">
        <v>2.08</v>
      </c>
      <c r="G47" s="13">
        <v>2.15</v>
      </c>
      <c r="H47" s="13">
        <v>1.33</v>
      </c>
      <c r="I47" s="13"/>
    </row>
    <row r="48" spans="5:11" x14ac:dyDescent="0.35">
      <c r="E48" t="s">
        <v>37</v>
      </c>
      <c r="F48" s="13">
        <v>2.12</v>
      </c>
      <c r="G48" s="13">
        <v>2.15</v>
      </c>
      <c r="H48" s="13">
        <v>1.54</v>
      </c>
      <c r="I48" s="13"/>
    </row>
    <row r="49" spans="5:10" x14ac:dyDescent="0.35">
      <c r="F49" s="13"/>
      <c r="G49" s="13"/>
      <c r="H49" s="13"/>
      <c r="I49" s="13"/>
    </row>
    <row r="50" spans="5:10" x14ac:dyDescent="0.35">
      <c r="E50" s="1" t="s">
        <v>42</v>
      </c>
      <c r="F50" s="13"/>
      <c r="G50" s="13"/>
      <c r="H50" s="13"/>
      <c r="I50" s="13"/>
    </row>
    <row r="51" spans="5:10" x14ac:dyDescent="0.35">
      <c r="E51" s="78"/>
      <c r="F51" s="76" t="s">
        <v>6</v>
      </c>
      <c r="G51" s="76"/>
      <c r="H51" s="76" t="s">
        <v>7</v>
      </c>
      <c r="I51" s="76"/>
      <c r="J51" s="11" t="s">
        <v>8</v>
      </c>
    </row>
    <row r="52" spans="5:10" x14ac:dyDescent="0.35">
      <c r="E52" s="78"/>
      <c r="F52" s="6" t="s">
        <v>43</v>
      </c>
      <c r="G52" s="6" t="s">
        <v>44</v>
      </c>
      <c r="H52" s="6" t="s">
        <v>43</v>
      </c>
      <c r="I52" s="6" t="s">
        <v>44</v>
      </c>
      <c r="J52" s="6" t="s">
        <v>43</v>
      </c>
    </row>
    <row r="53" spans="5:10" x14ac:dyDescent="0.35">
      <c r="E53" s="10" t="s">
        <v>45</v>
      </c>
      <c r="F53">
        <v>16.100000000000001</v>
      </c>
      <c r="G53">
        <v>14.9</v>
      </c>
      <c r="H53">
        <v>16.2</v>
      </c>
      <c r="I53">
        <v>13.9</v>
      </c>
      <c r="J53">
        <v>13.9</v>
      </c>
    </row>
    <row r="54" spans="5:10" x14ac:dyDescent="0.35">
      <c r="E54" s="10" t="s">
        <v>46</v>
      </c>
      <c r="F54">
        <v>29.6</v>
      </c>
      <c r="G54">
        <v>29.9</v>
      </c>
      <c r="H54">
        <v>29.5</v>
      </c>
      <c r="I54">
        <v>29.6</v>
      </c>
      <c r="J54">
        <v>29.6</v>
      </c>
    </row>
    <row r="55" spans="5:10" x14ac:dyDescent="0.35">
      <c r="E55" s="10" t="s">
        <v>47</v>
      </c>
      <c r="F55">
        <v>31.9</v>
      </c>
      <c r="G55">
        <v>32.1</v>
      </c>
      <c r="H55">
        <v>32.1</v>
      </c>
      <c r="I55">
        <v>32.9</v>
      </c>
      <c r="J55">
        <v>32.9</v>
      </c>
    </row>
    <row r="56" spans="5:10" x14ac:dyDescent="0.35">
      <c r="E56" s="10" t="s">
        <v>48</v>
      </c>
      <c r="F56">
        <v>4.2</v>
      </c>
      <c r="G56">
        <v>4.4000000000000004</v>
      </c>
      <c r="H56">
        <v>4.2</v>
      </c>
      <c r="I56">
        <v>4.2</v>
      </c>
      <c r="J56">
        <v>4.2</v>
      </c>
    </row>
    <row r="57" spans="5:10" x14ac:dyDescent="0.35">
      <c r="E57" s="10" t="s">
        <v>49</v>
      </c>
      <c r="F57">
        <v>1.2</v>
      </c>
      <c r="G57">
        <v>1.68</v>
      </c>
      <c r="H57">
        <v>1.07</v>
      </c>
      <c r="I57">
        <v>1.51</v>
      </c>
      <c r="J57">
        <v>1.51</v>
      </c>
    </row>
    <row r="58" spans="5:10" x14ac:dyDescent="0.35">
      <c r="E58" s="10" t="s">
        <v>52</v>
      </c>
      <c r="F58">
        <v>0.84</v>
      </c>
      <c r="G58">
        <v>0.93</v>
      </c>
      <c r="H58">
        <v>0.76</v>
      </c>
      <c r="I58">
        <v>0.9</v>
      </c>
      <c r="J58">
        <v>0.9</v>
      </c>
    </row>
    <row r="59" spans="5:10" x14ac:dyDescent="0.35">
      <c r="E59" s="10" t="s">
        <v>50</v>
      </c>
      <c r="F59">
        <v>38.299999999999997</v>
      </c>
      <c r="G59">
        <v>39.1</v>
      </c>
      <c r="H59">
        <v>38</v>
      </c>
      <c r="I59">
        <v>38.799999999999997</v>
      </c>
      <c r="J59">
        <v>38.799999999999997</v>
      </c>
    </row>
    <row r="60" spans="5:10" x14ac:dyDescent="0.35">
      <c r="E60" s="10" t="s">
        <v>51</v>
      </c>
      <c r="F60">
        <v>38.5</v>
      </c>
      <c r="G60">
        <v>40.299999999999997</v>
      </c>
      <c r="H60">
        <v>37.9</v>
      </c>
      <c r="I60">
        <v>38.9</v>
      </c>
      <c r="J60">
        <v>38.9</v>
      </c>
    </row>
    <row r="62" spans="5:10" x14ac:dyDescent="0.35">
      <c r="E62" s="10" t="s">
        <v>55</v>
      </c>
    </row>
    <row r="63" spans="5:10" x14ac:dyDescent="0.35">
      <c r="E63" s="7"/>
      <c r="F63" s="7" t="s">
        <v>6</v>
      </c>
      <c r="G63" s="7" t="s">
        <v>7</v>
      </c>
      <c r="H63" s="7" t="s">
        <v>8</v>
      </c>
    </row>
    <row r="64" spans="5:10" x14ac:dyDescent="0.35">
      <c r="E64" s="2" t="s">
        <v>35</v>
      </c>
      <c r="F64">
        <v>-4.55</v>
      </c>
      <c r="G64">
        <v>-4.1900000000000004</v>
      </c>
      <c r="H64">
        <v>-7.65</v>
      </c>
    </row>
    <row r="65" spans="5:8" x14ac:dyDescent="0.35">
      <c r="E65" t="s">
        <v>36</v>
      </c>
      <c r="F65">
        <v>-4.5199999999999996</v>
      </c>
      <c r="G65">
        <v>-4.55</v>
      </c>
      <c r="H65">
        <v>-8.44</v>
      </c>
    </row>
    <row r="66" spans="5:8" x14ac:dyDescent="0.35">
      <c r="E66" t="s">
        <v>37</v>
      </c>
      <c r="F66" s="13">
        <v>-4.71</v>
      </c>
      <c r="G66" s="13">
        <v>-4.6900000000000004</v>
      </c>
      <c r="H66" s="13">
        <v>-8.59</v>
      </c>
    </row>
    <row r="67" spans="5:8" x14ac:dyDescent="0.35">
      <c r="F67" s="13"/>
      <c r="G67" s="13"/>
      <c r="H67" s="13"/>
    </row>
  </sheetData>
  <mergeCells count="7">
    <mergeCell ref="F51:G51"/>
    <mergeCell ref="H51:I51"/>
    <mergeCell ref="E28:E30"/>
    <mergeCell ref="E37:E39"/>
    <mergeCell ref="E40:E42"/>
    <mergeCell ref="E51:E52"/>
    <mergeCell ref="E31:E33"/>
  </mergeCells>
  <phoneticPr fontId="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1E017-B758-470C-9E5E-0EE7743FD3E8}">
  <dimension ref="A1:I21"/>
  <sheetViews>
    <sheetView workbookViewId="0">
      <selection activeCell="H1" sqref="H1"/>
    </sheetView>
  </sheetViews>
  <sheetFormatPr defaultRowHeight="15.5" x14ac:dyDescent="0.35"/>
  <cols>
    <col min="2" max="2" width="9.5" customWidth="1"/>
    <col min="4" max="4" width="9.25" customWidth="1"/>
    <col min="5" max="5" width="9.33203125" customWidth="1"/>
    <col min="6" max="6" width="9.58203125" customWidth="1"/>
  </cols>
  <sheetData>
    <row r="1" spans="1:9" s="2" customFormat="1" ht="51" customHeight="1" thickBot="1" x14ac:dyDescent="0.4">
      <c r="A1" s="48"/>
      <c r="B1" s="49" t="s">
        <v>59</v>
      </c>
      <c r="C1" s="49" t="s">
        <v>26</v>
      </c>
      <c r="D1" s="49" t="s">
        <v>60</v>
      </c>
      <c r="E1" s="49" t="s">
        <v>63</v>
      </c>
      <c r="F1" s="49" t="str">
        <f>"Structural balance if ɛ = "&amp;ROUND(Calculator!$H$11,3)</f>
        <v>Structural balance if ɛ = 0,297</v>
      </c>
    </row>
    <row r="2" spans="1:9" ht="16" thickTop="1" x14ac:dyDescent="0.35">
      <c r="A2" s="50">
        <v>2012</v>
      </c>
      <c r="B2" s="51">
        <v>-0.4</v>
      </c>
      <c r="C2" s="52">
        <v>-0.1</v>
      </c>
      <c r="D2" s="53">
        <v>-0.80169849501841151</v>
      </c>
      <c r="E2" s="52">
        <f t="shared" ref="E2:E13" si="0">B2-0.486*C2-D2</f>
        <v>0.45029849501841146</v>
      </c>
      <c r="F2" s="52">
        <f>B2-Calculator!$H$11*C2-D2</f>
        <v>0.43143962370841149</v>
      </c>
      <c r="I2" s="9"/>
    </row>
    <row r="3" spans="1:9" x14ac:dyDescent="0.35">
      <c r="A3" s="50">
        <v>2013</v>
      </c>
      <c r="B3" s="51">
        <v>-0.2</v>
      </c>
      <c r="C3" s="52">
        <v>-0.3</v>
      </c>
      <c r="D3" s="53">
        <v>-0.16698672455539784</v>
      </c>
      <c r="E3" s="52">
        <f t="shared" si="0"/>
        <v>0.11278672455539782</v>
      </c>
      <c r="F3" s="52">
        <f>B3-Calculator!$H$11*C3-D3</f>
        <v>5.6210110625397838E-2</v>
      </c>
      <c r="I3" s="9"/>
    </row>
    <row r="4" spans="1:9" x14ac:dyDescent="0.35">
      <c r="A4" s="50">
        <v>2014</v>
      </c>
      <c r="B4" s="51">
        <v>0.9</v>
      </c>
      <c r="C4" s="52">
        <v>0.5</v>
      </c>
      <c r="D4" s="53">
        <v>-0.22587107671760226</v>
      </c>
      <c r="E4" s="52">
        <f t="shared" si="0"/>
        <v>0.88287107671760223</v>
      </c>
      <c r="F4" s="52">
        <f>B4-Calculator!$H$11*C4-D4</f>
        <v>0.9771654332676023</v>
      </c>
      <c r="I4" s="9"/>
    </row>
    <row r="5" spans="1:9" x14ac:dyDescent="0.35">
      <c r="A5" s="50">
        <v>2015</v>
      </c>
      <c r="B5" s="51">
        <v>0.2</v>
      </c>
      <c r="C5" s="52">
        <v>-0.2</v>
      </c>
      <c r="D5" s="53">
        <v>-0.56637269226925069</v>
      </c>
      <c r="E5" s="52">
        <f t="shared" si="0"/>
        <v>0.86357269226925071</v>
      </c>
      <c r="F5" s="52">
        <f>B5-Calculator!$H$11*C5-D5</f>
        <v>0.82585494964925066</v>
      </c>
      <c r="I5" s="9"/>
    </row>
    <row r="6" spans="1:9" x14ac:dyDescent="0.35">
      <c r="A6" s="50">
        <v>2016</v>
      </c>
      <c r="B6" s="51">
        <v>-0.1</v>
      </c>
      <c r="C6" s="52">
        <v>0.4</v>
      </c>
      <c r="D6" s="53">
        <v>-0.27491099193293972</v>
      </c>
      <c r="E6" s="52">
        <f t="shared" si="0"/>
        <v>-1.9489008067060276E-2</v>
      </c>
      <c r="F6" s="52">
        <f>B6-Calculator!$H$11*C6-D6</f>
        <v>5.5946477172939713E-2</v>
      </c>
      <c r="I6" s="9"/>
    </row>
    <row r="7" spans="1:9" x14ac:dyDescent="0.35">
      <c r="A7" s="50">
        <v>2017</v>
      </c>
      <c r="B7" s="51">
        <v>-0.5</v>
      </c>
      <c r="C7" s="52">
        <v>2.8</v>
      </c>
      <c r="D7" s="53">
        <v>-0.32900012748754942</v>
      </c>
      <c r="E7" s="52">
        <f t="shared" si="0"/>
        <v>-1.5317998725124504</v>
      </c>
      <c r="F7" s="52">
        <f>B7-Calculator!$H$11*C7-D7</f>
        <v>-1.0037514758324506</v>
      </c>
      <c r="I7" s="9"/>
    </row>
    <row r="8" spans="1:9" x14ac:dyDescent="0.35">
      <c r="A8" s="50">
        <v>2018</v>
      </c>
      <c r="B8" s="51">
        <v>-0.6</v>
      </c>
      <c r="C8" s="52">
        <v>2.5</v>
      </c>
      <c r="D8" s="53">
        <v>-0.11347088526202319</v>
      </c>
      <c r="E8" s="52">
        <f t="shared" si="0"/>
        <v>-1.7015291147379767</v>
      </c>
      <c r="F8" s="52">
        <f>B8-Calculator!$H$11*C8-D8</f>
        <v>-1.2300573319879768</v>
      </c>
      <c r="I8" s="9"/>
    </row>
    <row r="9" spans="1:9" x14ac:dyDescent="0.35">
      <c r="A9" s="50">
        <v>2019</v>
      </c>
      <c r="B9" s="51">
        <v>-0.1</v>
      </c>
      <c r="C9" s="52">
        <v>2.2999999999999998</v>
      </c>
      <c r="D9" s="53">
        <v>-7.375641417387549E-2</v>
      </c>
      <c r="E9" s="52">
        <f t="shared" si="0"/>
        <v>-1.1440435858261244</v>
      </c>
      <c r="F9" s="52">
        <f>B9-Calculator!$H$11*C9-D9</f>
        <v>-0.71028954569612446</v>
      </c>
      <c r="I9" s="9"/>
    </row>
    <row r="10" spans="1:9" x14ac:dyDescent="0.35">
      <c r="A10" s="50">
        <v>2020</v>
      </c>
      <c r="B10" s="51">
        <v>-5.4</v>
      </c>
      <c r="C10" s="52">
        <v>-3.1</v>
      </c>
      <c r="D10" s="53">
        <v>0</v>
      </c>
      <c r="E10" s="52">
        <f t="shared" si="0"/>
        <v>-3.8934000000000006</v>
      </c>
      <c r="F10" s="52">
        <f>B10-Calculator!$H$11*C10-D10</f>
        <v>-4.4780250106100006</v>
      </c>
      <c r="I10" s="9"/>
    </row>
    <row r="11" spans="1:9" x14ac:dyDescent="0.35">
      <c r="A11" s="50">
        <v>2021</v>
      </c>
      <c r="B11" s="51">
        <v>-2.6</v>
      </c>
      <c r="C11" s="52">
        <v>1.6</v>
      </c>
      <c r="D11" s="53">
        <v>0.9409909652151246</v>
      </c>
      <c r="E11" s="52">
        <f t="shared" si="0"/>
        <v>-4.3185909652151251</v>
      </c>
      <c r="F11" s="52">
        <f>B11-Calculator!$H$11*C11-D11</f>
        <v>-4.0168490242551247</v>
      </c>
      <c r="I11" s="9"/>
    </row>
    <row r="12" spans="1:9" x14ac:dyDescent="0.35">
      <c r="A12" s="50">
        <v>2022</v>
      </c>
      <c r="B12" s="51">
        <v>-1.1000000000000001</v>
      </c>
      <c r="C12" s="52">
        <v>0.4</v>
      </c>
      <c r="D12" s="53">
        <v>0.23324223166167252</v>
      </c>
      <c r="E12" s="52">
        <f t="shared" si="0"/>
        <v>-1.5276422316616725</v>
      </c>
      <c r="F12" s="52">
        <f>B12-Calculator!$H$11*C12-D12</f>
        <v>-1.4522067464216726</v>
      </c>
      <c r="I12" s="9"/>
    </row>
    <row r="13" spans="1:9" x14ac:dyDescent="0.35">
      <c r="A13" s="54">
        <v>2023</v>
      </c>
      <c r="B13" s="51">
        <v>-3.1</v>
      </c>
      <c r="C13" s="52">
        <v>-3.8</v>
      </c>
      <c r="D13" s="53">
        <v>0</v>
      </c>
      <c r="E13" s="52">
        <f t="shared" si="0"/>
        <v>-1.2532000000000003</v>
      </c>
      <c r="F13" s="52">
        <f>B13-Calculator!$H$11*C13-D13</f>
        <v>-1.96983710978</v>
      </c>
      <c r="I13" s="9"/>
    </row>
    <row r="14" spans="1:9" x14ac:dyDescent="0.35">
      <c r="A14" s="54">
        <v>2024</v>
      </c>
      <c r="B14" s="51">
        <v>-1.5</v>
      </c>
      <c r="C14" s="55">
        <v>-4.4000000000000004</v>
      </c>
      <c r="D14" s="53">
        <v>0</v>
      </c>
      <c r="E14" s="52">
        <f t="shared" ref="E14:E18" si="1">B14-0.486*C14-D14</f>
        <v>0.6384000000000003</v>
      </c>
      <c r="F14" s="52">
        <f>B14-Calculator!$H$11*C14-D14</f>
        <v>-0.19139033763999991</v>
      </c>
    </row>
    <row r="15" spans="1:9" x14ac:dyDescent="0.35">
      <c r="A15" s="54">
        <v>2025</v>
      </c>
      <c r="B15" s="51">
        <v>-1.5</v>
      </c>
      <c r="C15" s="52">
        <v>-3.6</v>
      </c>
      <c r="D15" s="53">
        <v>0</v>
      </c>
      <c r="E15" s="52">
        <f t="shared" si="1"/>
        <v>0.24960000000000004</v>
      </c>
      <c r="F15" s="52">
        <f>B15-Calculator!$H$11*C15-D15</f>
        <v>-0.42931936715999997</v>
      </c>
    </row>
    <row r="16" spans="1:9" x14ac:dyDescent="0.35">
      <c r="A16" s="54">
        <v>2026</v>
      </c>
      <c r="B16" s="51">
        <v>-2.5</v>
      </c>
      <c r="C16" s="52">
        <v>-2.1</v>
      </c>
      <c r="D16" s="53">
        <v>0</v>
      </c>
      <c r="E16" s="52">
        <f t="shared" si="1"/>
        <v>-1.4794</v>
      </c>
      <c r="F16" s="52">
        <f>B16-Calculator!$H$11*C16-D16</f>
        <v>-1.8754362975099999</v>
      </c>
    </row>
    <row r="17" spans="1:6" x14ac:dyDescent="0.35">
      <c r="A17" s="54">
        <v>2027</v>
      </c>
      <c r="B17" s="51">
        <v>-2</v>
      </c>
      <c r="C17" s="52">
        <v>-1</v>
      </c>
      <c r="D17" s="53">
        <v>0</v>
      </c>
      <c r="E17" s="52">
        <f t="shared" si="1"/>
        <v>-1.514</v>
      </c>
      <c r="F17" s="52">
        <f>B17-Calculator!$H$11*C17-D17</f>
        <v>-1.7025887130999999</v>
      </c>
    </row>
    <row r="18" spans="1:6" x14ac:dyDescent="0.35">
      <c r="A18" s="54">
        <v>2028</v>
      </c>
      <c r="B18" s="51">
        <v>-1.1000000000000001</v>
      </c>
      <c r="C18" s="52">
        <v>-0.1</v>
      </c>
      <c r="D18" s="53">
        <v>0</v>
      </c>
      <c r="E18" s="52">
        <f t="shared" si="1"/>
        <v>-1.0514000000000001</v>
      </c>
      <c r="F18" s="52">
        <f>B18-Calculator!$H$11*C18-D18</f>
        <v>-1.0702588713100001</v>
      </c>
    </row>
    <row r="19" spans="1:6" x14ac:dyDescent="0.35">
      <c r="A19" s="54">
        <v>2029</v>
      </c>
      <c r="B19" s="51">
        <v>-2.4</v>
      </c>
      <c r="C19" s="55">
        <v>0.6</v>
      </c>
      <c r="D19" s="53">
        <v>0</v>
      </c>
      <c r="E19" s="52">
        <f t="shared" ref="E19" si="2">B19-0.486*C19-D19</f>
        <v>-2.6915999999999998</v>
      </c>
      <c r="F19" s="52">
        <f>B19-Calculator!$H$11*C19-D19</f>
        <v>-2.57844677214</v>
      </c>
    </row>
    <row r="21" spans="1:6" x14ac:dyDescent="0.35">
      <c r="A21" s="12" t="s">
        <v>71</v>
      </c>
    </row>
  </sheetData>
  <sheetProtection algorithmName="SHA-512" hashValue="cCw6WcJNuP3JI9cgedPS3DwT3GThrUDZymeayYc2IFLAem6ourBeWqWb6jrLV0AmQ/LgkwU/h+BODJQsIGhthw==" saltValue="HjFCI35F3Uh4zzBj+VGimQ==" spinCount="100000" sheet="1" objects="1" scenarios="1" selectLockedCell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Assumptions</vt:lpstr>
      <vt:lpstr>Structural 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kasutaja</dc:creator>
  <cp:lastModifiedBy>Liina Rebane</cp:lastModifiedBy>
  <dcterms:created xsi:type="dcterms:W3CDTF">2024-11-21T06:49:08Z</dcterms:created>
  <dcterms:modified xsi:type="dcterms:W3CDTF">2025-06-10T17:11:55Z</dcterms:modified>
</cp:coreProperties>
</file>